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sdo\Desktop\"/>
    </mc:Choice>
  </mc:AlternateContent>
  <bookViews>
    <workbookView xWindow="120" yWindow="75" windowWidth="24915" windowHeight="12345"/>
  </bookViews>
  <sheets>
    <sheet name="Auto Projected YMPE" sheetId="2" r:id="rId1"/>
    <sheet name="Manual YMPE Entry" sheetId="4" r:id="rId2"/>
    <sheet name="NewConditionsToAll AutoYMPE" sheetId="5" r:id="rId3"/>
    <sheet name="NewConditionsToAll Manual YMPE" sheetId="6" r:id="rId4"/>
    <sheet name="YMPE Data" sheetId="3" r:id="rId5"/>
  </sheets>
  <calcPr calcId="162913"/>
</workbook>
</file>

<file path=xl/calcChain.xml><?xml version="1.0" encoding="utf-8"?>
<calcChain xmlns="http://schemas.openxmlformats.org/spreadsheetml/2006/main">
  <c r="H10" i="6" l="1"/>
  <c r="H9" i="6"/>
  <c r="H8" i="6"/>
  <c r="E8" i="6"/>
  <c r="E9" i="6" s="1"/>
  <c r="E10" i="6" s="1"/>
  <c r="E8" i="5"/>
  <c r="E9" i="5" s="1"/>
  <c r="H10" i="5"/>
  <c r="G24" i="5" s="1"/>
  <c r="H9" i="5"/>
  <c r="H34" i="6"/>
  <c r="E15" i="6"/>
  <c r="E14" i="6"/>
  <c r="H34" i="5"/>
  <c r="E11" i="5"/>
  <c r="H8" i="5"/>
  <c r="H11" i="4"/>
  <c r="G25" i="4" s="1"/>
  <c r="E5" i="4"/>
  <c r="E6" i="4" s="1"/>
  <c r="E7" i="4" s="1"/>
  <c r="E5" i="2"/>
  <c r="E6" i="2" s="1"/>
  <c r="E7" i="2" s="1"/>
  <c r="E8" i="2"/>
  <c r="E9" i="2" s="1"/>
  <c r="E10" i="2" s="1"/>
  <c r="H11" i="2"/>
  <c r="C19" i="6" l="1"/>
  <c r="C24" i="6" s="1"/>
  <c r="B19" i="6"/>
  <c r="G22" i="6"/>
  <c r="G23" i="6"/>
  <c r="G24" i="6"/>
  <c r="G20" i="6"/>
  <c r="G21" i="6"/>
  <c r="G25" i="6"/>
  <c r="C23" i="6"/>
  <c r="C22" i="6"/>
  <c r="C21" i="6"/>
  <c r="C25" i="6"/>
  <c r="C19" i="5"/>
  <c r="C20" i="5" s="1"/>
  <c r="G25" i="2"/>
  <c r="G22" i="5"/>
  <c r="G25" i="5"/>
  <c r="E10" i="5"/>
  <c r="G23" i="5"/>
  <c r="E14" i="5"/>
  <c r="B19" i="5" s="1"/>
  <c r="E15" i="5"/>
  <c r="G20" i="5"/>
  <c r="G21" i="5"/>
  <c r="E8" i="4"/>
  <c r="E9" i="4" s="1"/>
  <c r="E10" i="4" s="1"/>
  <c r="C20" i="6" l="1"/>
  <c r="D19" i="6"/>
  <c r="B23" i="6"/>
  <c r="D23" i="6" s="1"/>
  <c r="B22" i="6"/>
  <c r="D22" i="6" s="1"/>
  <c r="B21" i="6"/>
  <c r="D21" i="6" s="1"/>
  <c r="B20" i="6"/>
  <c r="D20" i="6" s="1"/>
  <c r="F20" i="6" s="1"/>
  <c r="B24" i="6"/>
  <c r="D24" i="6" s="1"/>
  <c r="C23" i="5"/>
  <c r="C24" i="5"/>
  <c r="C25" i="5"/>
  <c r="C21" i="5"/>
  <c r="C22" i="5"/>
  <c r="B25" i="6"/>
  <c r="D25" i="6" s="1"/>
  <c r="F25" i="6" s="1"/>
  <c r="D19" i="5"/>
  <c r="H34" i="4"/>
  <c r="H34" i="2"/>
  <c r="F22" i="6" l="1"/>
  <c r="F24" i="6"/>
  <c r="F23" i="6"/>
  <c r="F21" i="6"/>
  <c r="B24" i="5"/>
  <c r="D24" i="5" s="1"/>
  <c r="F24" i="5" s="1"/>
  <c r="B22" i="5"/>
  <c r="D22" i="5" s="1"/>
  <c r="F22" i="5" s="1"/>
  <c r="B21" i="5"/>
  <c r="D21" i="5" s="1"/>
  <c r="F21" i="5" s="1"/>
  <c r="B20" i="5"/>
  <c r="D20" i="5" s="1"/>
  <c r="F20" i="5" s="1"/>
  <c r="B25" i="5"/>
  <c r="D25" i="5" s="1"/>
  <c r="F25" i="5" s="1"/>
  <c r="B23" i="5"/>
  <c r="D23" i="5" s="1"/>
  <c r="F23" i="5" s="1"/>
  <c r="E15" i="4"/>
  <c r="E14" i="4"/>
  <c r="H10" i="4"/>
  <c r="H9" i="4"/>
  <c r="H8" i="4"/>
  <c r="E11" i="2"/>
  <c r="E15" i="2" s="1"/>
  <c r="C28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1" i="3"/>
  <c r="H8" i="2"/>
  <c r="H10" i="2"/>
  <c r="H9" i="2"/>
  <c r="G22" i="2" l="1"/>
  <c r="C19" i="4"/>
  <c r="G24" i="4"/>
  <c r="G20" i="4"/>
  <c r="G20" i="2"/>
  <c r="G21" i="2"/>
  <c r="G24" i="2"/>
  <c r="G23" i="2"/>
  <c r="C19" i="2"/>
  <c r="C25" i="2" s="1"/>
  <c r="G23" i="4"/>
  <c r="G21" i="4"/>
  <c r="G22" i="4"/>
  <c r="B19" i="4"/>
  <c r="B25" i="4" s="1"/>
  <c r="E14" i="2"/>
  <c r="B19" i="2" s="1"/>
  <c r="B25" i="2" s="1"/>
  <c r="D25" i="2" l="1"/>
  <c r="C23" i="4"/>
  <c r="C25" i="4"/>
  <c r="D25" i="4" s="1"/>
  <c r="C24" i="2"/>
  <c r="C24" i="4"/>
  <c r="C20" i="4"/>
  <c r="C21" i="4"/>
  <c r="C22" i="4"/>
  <c r="C20" i="2"/>
  <c r="B21" i="2"/>
  <c r="C23" i="2"/>
  <c r="B24" i="2"/>
  <c r="B20" i="2"/>
  <c r="C22" i="2"/>
  <c r="B23" i="2"/>
  <c r="C21" i="2"/>
  <c r="B22" i="2"/>
  <c r="B24" i="4"/>
  <c r="B22" i="4"/>
  <c r="B21" i="4"/>
  <c r="B23" i="4"/>
  <c r="D23" i="4" s="1"/>
  <c r="B20" i="4"/>
  <c r="D19" i="4"/>
  <c r="D19" i="2"/>
  <c r="F25" i="2" l="1"/>
  <c r="D24" i="4"/>
  <c r="F25" i="4"/>
  <c r="D20" i="2"/>
  <c r="F20" i="2" s="1"/>
  <c r="F23" i="4"/>
  <c r="D21" i="2"/>
  <c r="F21" i="2" s="1"/>
  <c r="F24" i="4"/>
  <c r="D23" i="2"/>
  <c r="F23" i="2" s="1"/>
  <c r="D22" i="4"/>
  <c r="F22" i="4" s="1"/>
  <c r="D21" i="4"/>
  <c r="F21" i="4" s="1"/>
  <c r="D20" i="4"/>
  <c r="F20" i="4" s="1"/>
  <c r="D24" i="2"/>
  <c r="F24" i="2" s="1"/>
  <c r="D22" i="2"/>
  <c r="F22" i="2" s="1"/>
</calcChain>
</file>

<file path=xl/sharedStrings.xml><?xml version="1.0" encoding="utf-8"?>
<sst xmlns="http://schemas.openxmlformats.org/spreadsheetml/2006/main" count="207" uniqueCount="60">
  <si>
    <t>Bridge</t>
  </si>
  <si>
    <t>PS before Jan. 1, 2018:</t>
  </si>
  <si>
    <t>PS Jan. 1, 2018 to retirement:</t>
  </si>
  <si>
    <r>
      <rPr>
        <b/>
        <u/>
        <sz val="11"/>
        <color theme="1"/>
        <rFont val="Calibri"/>
        <family val="2"/>
        <scheme val="minor"/>
      </rPr>
      <t>Estimate</t>
    </r>
    <r>
      <rPr>
        <sz val="11"/>
        <color theme="1"/>
        <rFont val="Calibri"/>
        <family val="2"/>
        <scheme val="minor"/>
      </rPr>
      <t xml:space="preserve"> each of the following.</t>
    </r>
  </si>
  <si>
    <t>Factor 90 age:</t>
  </si>
  <si>
    <t>Total PS:</t>
  </si>
  <si>
    <t>Current Plan</t>
  </si>
  <si>
    <t>New Plan A</t>
  </si>
  <si>
    <t>New Plan B</t>
  </si>
  <si>
    <t>New Plan C</t>
  </si>
  <si>
    <t>New Plan D</t>
  </si>
  <si>
    <t>New Plan E</t>
  </si>
  <si>
    <t>Lifetime</t>
  </si>
  <si>
    <t>TotalPre65</t>
  </si>
  <si>
    <t>*note: lifetime is your total pension after age 65</t>
  </si>
  <si>
    <t>% old plan:</t>
  </si>
  <si>
    <t>% new plan:</t>
  </si>
  <si>
    <t># yrs early current:</t>
  </si>
  <si>
    <t># yrs early new (A to C):</t>
  </si>
  <si>
    <t># yrs early new (D &amp; E):</t>
  </si>
  <si>
    <t>Retirement Year:</t>
  </si>
  <si>
    <t>projected YMPE:</t>
  </si>
  <si>
    <t>average increase/yr:</t>
  </si>
  <si>
    <t>*YMPE projection uses 2.4% average increase per year (1990 - 2015)</t>
  </si>
  <si>
    <t>$ below YMPE:</t>
  </si>
  <si>
    <t>$ above YMPE:</t>
  </si>
  <si>
    <t>*amounts above are annual pension</t>
  </si>
  <si>
    <t>monthly</t>
  </si>
  <si>
    <t>Retirement Age (min 55):</t>
  </si>
  <si>
    <t>100% on new plan</t>
  </si>
  <si>
    <t>(for calulation purpose):</t>
  </si>
  <si>
    <t>current:</t>
  </si>
  <si>
    <t>Age to match</t>
  </si>
  <si>
    <t>YMPE=Yearly Maximum Pensionable Earnings</t>
  </si>
  <si>
    <t>PS=Pensionable Service Time in years (actual time worked - see further help at bottom of page)</t>
  </si>
  <si>
    <t>If you work part-time it is prorated. For example if you are .857 then you will earn 0.0857 a month (0.857 for a year).</t>
  </si>
  <si>
    <t>YMPE at retirement:</t>
  </si>
  <si>
    <t>You can see your PS to the end of last year on you latest Pension Statement or online at www.pensionsbc.ca</t>
  </si>
  <si>
    <t>Current Yearly Average:</t>
  </si>
  <si>
    <t>HAS=Highest 5 Year Avg Salary:</t>
  </si>
  <si>
    <t>Projected Avg increase/year (%)</t>
  </si>
  <si>
    <t>Projected HAS</t>
  </si>
  <si>
    <t>CS=Contributory Service Time in years (numbers of years paying into pension regardless of FTE - see further help at bottom of page)</t>
  </si>
  <si>
    <t>You can see your PS and CS to the end of last year on your latest Pension Statement or online at www.pensionsbc.ca</t>
  </si>
  <si>
    <t>Any day missed without pay (strike, honouring picket line of other union, other) is a loss of 0.005 prorated (so if you are .857 it will be 0.004)</t>
  </si>
  <si>
    <r>
      <rPr>
        <b/>
        <sz val="11"/>
        <color theme="1"/>
        <rFont val="Calibri"/>
        <family val="2"/>
        <scheme val="minor"/>
      </rPr>
      <t>PS Calculation Note:</t>
    </r>
    <r>
      <rPr>
        <sz val="11"/>
        <color theme="1"/>
        <rFont val="Calibri"/>
        <family val="2"/>
        <scheme val="minor"/>
      </rPr>
      <t xml:space="preserve"> each month you work fulltime will earn you 0.1 of PS, so in a regular work year at full time you will earn 1.0.</t>
    </r>
  </si>
  <si>
    <r>
      <rPr>
        <b/>
        <sz val="11"/>
        <color theme="1"/>
        <rFont val="Calibri"/>
        <family val="2"/>
        <scheme val="minor"/>
      </rPr>
      <t>CS Calculation Note:</t>
    </r>
    <r>
      <rPr>
        <sz val="11"/>
        <color theme="1"/>
        <rFont val="Calibri"/>
        <family val="2"/>
        <scheme val="minor"/>
      </rPr>
      <t xml:space="preserve"> each month in which you work  will earn you 0.1 of CS, any amount of work in the month gets you the full month's credit.</t>
    </r>
  </si>
  <si>
    <t>CS at retirement:</t>
  </si>
  <si>
    <t># yrs early new (F):</t>
  </si>
  <si>
    <t>Total PS (F):</t>
  </si>
  <si>
    <t>Total PS (A to E):</t>
  </si>
  <si>
    <t>NEWEST PLAN (F)</t>
  </si>
  <si>
    <t>1) removal of the 35 year penionable service cap</t>
  </si>
  <si>
    <t>2) unreduced pension for those with 35 years of Contributory Service.</t>
  </si>
  <si>
    <t>NOTE: in this spreadsheet the newly added conditions of:</t>
  </si>
  <si>
    <t># yrs early new (ABCF):</t>
  </si>
  <si>
    <t># yrs early new (DE):</t>
  </si>
  <si>
    <r>
      <t xml:space="preserve">Have been applied to </t>
    </r>
    <r>
      <rPr>
        <b/>
        <u/>
        <sz val="12"/>
        <color theme="1"/>
        <rFont val="Calibri"/>
        <family val="2"/>
        <scheme val="minor"/>
      </rPr>
      <t>ALL</t>
    </r>
    <r>
      <rPr>
        <b/>
        <sz val="12"/>
        <color theme="1"/>
        <rFont val="Calibri"/>
        <family val="2"/>
        <scheme val="minor"/>
      </rPr>
      <t xml:space="preserve"> of the options (A to F)</t>
    </r>
  </si>
  <si>
    <r>
      <t>Have been applied to</t>
    </r>
    <r>
      <rPr>
        <b/>
        <u/>
        <sz val="12"/>
        <color theme="1"/>
        <rFont val="Calibri"/>
        <family val="2"/>
        <scheme val="minor"/>
      </rPr>
      <t xml:space="preserve"> ALL </t>
    </r>
    <r>
      <rPr>
        <b/>
        <sz val="12"/>
        <color theme="1"/>
        <rFont val="Calibri"/>
        <family val="2"/>
        <scheme val="minor"/>
      </rPr>
      <t>of the options (A to F)</t>
    </r>
  </si>
  <si>
    <r>
      <t xml:space="preserve">Have been applied </t>
    </r>
    <r>
      <rPr>
        <b/>
        <u/>
        <sz val="12"/>
        <color theme="1"/>
        <rFont val="Calibri"/>
        <family val="2"/>
        <scheme val="minor"/>
      </rPr>
      <t>ONLY</t>
    </r>
    <r>
      <rPr>
        <b/>
        <sz val="12"/>
        <color theme="1"/>
        <rFont val="Calibri"/>
        <family val="2"/>
        <scheme val="minor"/>
      </rPr>
      <t xml:space="preserve"> to the latest option (F)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</si>
</sst>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8">
    <xf numFmtId="0" fontId="0" fillId="0" borderId="0" xfId="0"/>
    <xf numFmtId="0" fontId="2" fillId="3" borderId="1" xfId="2"/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1" fillId="2" borderId="1" xfId="1" applyProtection="1">
      <protection locked="0"/>
    </xf>
    <xf numFmtId="0" fontId="1" fillId="2" borderId="2" xfId="1" applyBorder="1" applyProtection="1">
      <protection locked="0"/>
    </xf>
    <xf numFmtId="0" fontId="0" fillId="4" borderId="0" xfId="0" applyFill="1"/>
    <xf numFmtId="0" fontId="5" fillId="0" borderId="0" xfId="0" applyFont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5" zoomScale="152" workbookViewId="0">
      <selection activeCell="B10" sqref="B10"/>
    </sheetView>
  </sheetViews>
  <sheetFormatPr defaultRowHeight="14.25" x14ac:dyDescent="0.45"/>
  <cols>
    <col min="1" max="1" width="27.3984375" customWidth="1"/>
    <col min="4" max="4" width="15.59765625" bestFit="1" customWidth="1"/>
    <col min="5" max="5" width="6" bestFit="1" customWidth="1"/>
    <col min="6" max="6" width="13.265625" bestFit="1" customWidth="1"/>
    <col min="7" max="7" width="22.1328125" bestFit="1" customWidth="1"/>
  </cols>
  <sheetData>
    <row r="1" spans="1:10" x14ac:dyDescent="0.45">
      <c r="A1" t="s">
        <v>33</v>
      </c>
    </row>
    <row r="2" spans="1:10" ht="15.75" x14ac:dyDescent="0.5">
      <c r="A2" t="s">
        <v>34</v>
      </c>
      <c r="J2" s="7" t="s">
        <v>54</v>
      </c>
    </row>
    <row r="3" spans="1:10" ht="15.75" x14ac:dyDescent="0.5">
      <c r="A3" t="s">
        <v>42</v>
      </c>
      <c r="J3" s="7" t="s">
        <v>52</v>
      </c>
    </row>
    <row r="4" spans="1:10" ht="15.75" x14ac:dyDescent="0.5">
      <c r="J4" s="7" t="s">
        <v>53</v>
      </c>
    </row>
    <row r="5" spans="1:10" ht="15.75" x14ac:dyDescent="0.5">
      <c r="A5" t="s">
        <v>3</v>
      </c>
      <c r="D5" t="s">
        <v>49</v>
      </c>
      <c r="E5" s="1">
        <f>SUM(B7:B8)</f>
        <v>32</v>
      </c>
      <c r="J5" s="7" t="s">
        <v>59</v>
      </c>
    </row>
    <row r="6" spans="1:10" x14ac:dyDescent="0.45">
      <c r="A6" t="s">
        <v>39</v>
      </c>
      <c r="B6" s="4">
        <v>90100</v>
      </c>
      <c r="D6" t="s">
        <v>15</v>
      </c>
      <c r="E6" s="1">
        <f>ROUND(PRODUCT(B7,1/E5,100),1)</f>
        <v>60.9</v>
      </c>
    </row>
    <row r="7" spans="1:10" x14ac:dyDescent="0.45">
      <c r="A7" t="s">
        <v>1</v>
      </c>
      <c r="B7" s="4">
        <v>19.5</v>
      </c>
      <c r="D7" t="s">
        <v>16</v>
      </c>
      <c r="E7" s="1">
        <f>SUM(100,-E6)</f>
        <v>39.1</v>
      </c>
    </row>
    <row r="8" spans="1:10" x14ac:dyDescent="0.45">
      <c r="A8" t="s">
        <v>2</v>
      </c>
      <c r="B8" s="4">
        <v>12.5</v>
      </c>
      <c r="D8" t="s">
        <v>50</v>
      </c>
      <c r="E8" s="1">
        <f>IF(SUM(B7:B8)&lt;35,SUM(B7:B8),35)</f>
        <v>32</v>
      </c>
      <c r="G8" t="s">
        <v>17</v>
      </c>
      <c r="H8" s="1">
        <f>IF(B9&gt;=60,IF(B10&gt;=60,0,SUM(60,-B10)),IF(B10&gt;=B9,0,IF(B10=60,0,IF(SUM(B9,-B10)&lt;0,0,SUM(B9,-B10)))))</f>
        <v>0</v>
      </c>
    </row>
    <row r="9" spans="1:10" x14ac:dyDescent="0.45">
      <c r="A9" t="s">
        <v>4</v>
      </c>
      <c r="B9" s="4">
        <v>57</v>
      </c>
      <c r="D9" t="s">
        <v>15</v>
      </c>
      <c r="E9" s="1">
        <f>ROUND(PRODUCT(B7,IF(E8=35,1/35,1/E8),100),1)</f>
        <v>60.9</v>
      </c>
      <c r="G9" t="s">
        <v>18</v>
      </c>
      <c r="H9" s="1">
        <f>IF(SUM(61,-B10)&lt;0,0,SUM(61,-B10))</f>
        <v>4</v>
      </c>
    </row>
    <row r="10" spans="1:10" x14ac:dyDescent="0.45">
      <c r="A10" t="s">
        <v>28</v>
      </c>
      <c r="B10" s="4">
        <v>57</v>
      </c>
      <c r="D10" t="s">
        <v>16</v>
      </c>
      <c r="E10" s="1">
        <f>SUM(100,-E9)</f>
        <v>39.1</v>
      </c>
      <c r="G10" t="s">
        <v>19</v>
      </c>
      <c r="H10" s="1">
        <f>IF(SUM(62,-B10)&lt;0,0,SUM(62,-B10))</f>
        <v>5</v>
      </c>
    </row>
    <row r="11" spans="1:10" x14ac:dyDescent="0.45">
      <c r="A11" t="s">
        <v>20</v>
      </c>
      <c r="B11" s="4">
        <v>2030</v>
      </c>
      <c r="D11" t="s">
        <v>21</v>
      </c>
      <c r="E11" s="1">
        <f>ROUND(PRODUCT(53600,POWER(1.024,SUM(B11,-2015))),-2)</f>
        <v>76500</v>
      </c>
      <c r="G11" t="s">
        <v>48</v>
      </c>
      <c r="H11" s="1">
        <f>IF(SUM(61,-B10)&lt;0,0,IF(B12&lt;35,SUM(61,-B10),0))</f>
        <v>4</v>
      </c>
    </row>
    <row r="12" spans="1:10" x14ac:dyDescent="0.45">
      <c r="A12" t="s">
        <v>47</v>
      </c>
      <c r="B12" s="4">
        <v>33</v>
      </c>
      <c r="D12" t="s">
        <v>23</v>
      </c>
    </row>
    <row r="14" spans="1:10" x14ac:dyDescent="0.45">
      <c r="D14" t="s">
        <v>24</v>
      </c>
      <c r="E14" s="1">
        <f>IF(B6&lt;E11,B6,E11)</f>
        <v>76500</v>
      </c>
    </row>
    <row r="15" spans="1:10" x14ac:dyDescent="0.45">
      <c r="D15" t="s">
        <v>25</v>
      </c>
      <c r="E15" s="1">
        <f>IF(B6&lt;E11,0,SUM(B6,-E11))</f>
        <v>13600</v>
      </c>
    </row>
    <row r="17" spans="1:7" x14ac:dyDescent="0.45">
      <c r="B17" t="s">
        <v>14</v>
      </c>
    </row>
    <row r="18" spans="1:7" x14ac:dyDescent="0.45">
      <c r="B18" t="s">
        <v>12</v>
      </c>
      <c r="C18" t="s">
        <v>0</v>
      </c>
      <c r="D18" t="s">
        <v>13</v>
      </c>
      <c r="F18" t="s">
        <v>32</v>
      </c>
      <c r="G18" t="s">
        <v>29</v>
      </c>
    </row>
    <row r="19" spans="1:7" x14ac:dyDescent="0.45">
      <c r="A19" t="s">
        <v>6</v>
      </c>
      <c r="B19" s="1">
        <f>IF(H8=0,ROUND(PRODUCT(SUM(PRODUCT(0.013,E14,E8),PRODUCT(0.02,E15,E8)),1/12),0),ROUND(PRODUCT(SUM(PRODUCT(0.013,E14,E8),PRODUCT(0.02,E15,E8)),PRODUCT(SUM(1,-PRODUCT(H8,0.03)))*1/12),0))</f>
        <v>3377</v>
      </c>
      <c r="C19" s="1">
        <f>IF(H8=0,IF(B6&lt;E11,ROUND(PRODUCT(0.007,B6,E8,1/12),0),ROUND(PRODUCT(0.007,E11,E8,1/12),0)),IF(B6&lt;E11,ROUND(PRODUCT(0.007,B6,E8,PRODUCT(SUM(1,-PRODUCT(H8,0.03)))*1/12),0),ROUND(PRODUCT(0.007,E11,E8,PRODUCT(SUM(1,-PRODUCT(H8,0.03))),1/12),0)))</f>
        <v>1428</v>
      </c>
      <c r="D19" s="1">
        <f t="shared" ref="D19:D25" si="0">SUM(B19:C19)</f>
        <v>4805</v>
      </c>
      <c r="F19" t="s">
        <v>31</v>
      </c>
      <c r="G19" t="s">
        <v>30</v>
      </c>
    </row>
    <row r="20" spans="1:7" x14ac:dyDescent="0.45">
      <c r="A20" t="s">
        <v>7</v>
      </c>
      <c r="B20" s="1">
        <f>ROUND(SUM(PRODUCT(B19,E9/100),PRODUCT(G20,E10/100)),0)</f>
        <v>3545</v>
      </c>
      <c r="C20" s="1">
        <f>ROUND(PRODUCT(C19,E9/100),0)</f>
        <v>870</v>
      </c>
      <c r="D20" s="1">
        <f t="shared" si="0"/>
        <v>4415</v>
      </c>
      <c r="F20" s="1">
        <f>ROUND(SUM(65,PRODUCT(SUM(65,-B10),SUM(D19,-D20),1/SUM(B20,-B19))),0)</f>
        <v>84</v>
      </c>
      <c r="G20" s="1">
        <f>IF(H9=0,ROUND(PRODUCT(B6,0.018,E8,1/12),0),ROUND(PRODUCT(B6,0.018,E8,1/12,SUM(1,-PRODUCT(H9,0.03))),0))</f>
        <v>3806</v>
      </c>
    </row>
    <row r="21" spans="1:7" x14ac:dyDescent="0.45">
      <c r="A21" t="s">
        <v>8</v>
      </c>
      <c r="B21" s="1">
        <f>ROUND(SUM(PRODUCT(B19,E9/100),PRODUCT(G21,E10/100)),0)</f>
        <v>3511</v>
      </c>
      <c r="C21" s="1">
        <f>ROUND(PRODUCT(C19,E9/100),0)</f>
        <v>870</v>
      </c>
      <c r="D21" s="1">
        <f t="shared" si="0"/>
        <v>4381</v>
      </c>
      <c r="F21" s="1">
        <f>ROUND(SUM(65,PRODUCT(SUM(65,-B10),SUM(D19,-D21),1/SUM(B21,-B19))),0)</f>
        <v>90</v>
      </c>
      <c r="G21" s="1">
        <f>IF(H9=0,ROUND(PRODUCT(B6,0.018,E8,1/12),0),ROUND(PRODUCT(B6,0.018,E8,1/12,SUM(1,-PRODUCT(H9,0.035))),0))</f>
        <v>3719</v>
      </c>
    </row>
    <row r="22" spans="1:7" x14ac:dyDescent="0.45">
      <c r="A22" t="s">
        <v>9</v>
      </c>
      <c r="B22" s="1">
        <f>ROUND(SUM(PRODUCT(B19,E9/100),PRODUCT(G22,E10/100)),0)</f>
        <v>3517</v>
      </c>
      <c r="C22" s="1">
        <f>ROUND(PRODUCT(C19,E9/100),0)</f>
        <v>870</v>
      </c>
      <c r="D22" s="1">
        <f t="shared" si="0"/>
        <v>4387</v>
      </c>
      <c r="F22" s="1">
        <f>ROUND(SUM(65,PRODUCT(SUM(65,-B10),SUM(D19,-D22),1/SUM(B22,-B19))),0)</f>
        <v>89</v>
      </c>
      <c r="G22" s="1">
        <f>IF(H9=0,ROUND(PRODUCT(B6,0.0185,E8,1/12),0),ROUND(PRODUCT(B6,0.0185,E8,1/12,SUM(1,-PRODUCT(H9,0.04))),0))</f>
        <v>3734</v>
      </c>
    </row>
    <row r="23" spans="1:7" x14ac:dyDescent="0.45">
      <c r="A23" t="s">
        <v>10</v>
      </c>
      <c r="B23" s="1">
        <f>ROUND(SUM(PRODUCT(B19,E9/100),PRODUCT(G23,E10/100)),0)</f>
        <v>3534</v>
      </c>
      <c r="C23" s="1">
        <f>ROUND(PRODUCT(C19,E9/100),0)</f>
        <v>870</v>
      </c>
      <c r="D23" s="1">
        <f t="shared" si="0"/>
        <v>4404</v>
      </c>
      <c r="F23" s="1">
        <f>ROUND(SUM(65,PRODUCT(SUM(65,-B10),SUM(D19,-D23),1/SUM(B23,-B19))),0)</f>
        <v>85</v>
      </c>
      <c r="G23" s="1">
        <f>IF(H10=0,ROUND(PRODUCT(B6,0.0185,E8,1/12),0),ROUND(PRODUCT(B6,0.0185,E8,1/12,SUM(1,-PRODUCT(H10,0.03))),0))</f>
        <v>3778</v>
      </c>
    </row>
    <row r="24" spans="1:7" x14ac:dyDescent="0.45">
      <c r="A24" t="s">
        <v>11</v>
      </c>
      <c r="B24" s="1">
        <f>ROUND(SUM(PRODUCT(B19,E9/100),PRODUCT(G24,E10/100)),0)</f>
        <v>3466</v>
      </c>
      <c r="C24" s="1">
        <f>ROUND(PRODUCT(C19,E9/100),0)</f>
        <v>870</v>
      </c>
      <c r="D24" s="1">
        <f t="shared" si="0"/>
        <v>4336</v>
      </c>
      <c r="F24" s="1">
        <f>ROUND(SUM(65,PRODUCT(SUM(65,-B10),SUM(D19,-D24),1/SUM(B24,-B19))),0)</f>
        <v>107</v>
      </c>
      <c r="G24" s="1">
        <f>IF(H10=0,ROUND(PRODUCT(B6,0.02,E8,1/12),0),ROUND(PRODUCT(B6,0.02,E8,1/12,SUM(1,-PRODUCT(H10,0.05))),0))</f>
        <v>3604</v>
      </c>
    </row>
    <row r="25" spans="1:7" x14ac:dyDescent="0.45">
      <c r="A25" s="6" t="s">
        <v>51</v>
      </c>
      <c r="B25" s="1">
        <f>ROUND(SUM(PRODUCT(B19,E6/100),PRODUCT(G25,E7/100)),0)</f>
        <v>3482</v>
      </c>
      <c r="C25" s="1">
        <f>ROUND(PRODUCT(C19,E6/100),0)</f>
        <v>870</v>
      </c>
      <c r="D25" s="1">
        <f t="shared" si="0"/>
        <v>4352</v>
      </c>
      <c r="F25" s="1">
        <f>ROUND(SUM(65,PRODUCT(SUM(65,-B10),SUM(D19,-D25),1/SUM(B25,-B19))),0)</f>
        <v>100</v>
      </c>
      <c r="G25" s="1">
        <f>IF(H11=0,ROUND(PRODUCT(B6,0.0185,E5,1/12),0),ROUND(PRODUCT(B6,0.0185,E5,1/12,SUM(1,-PRODUCT(H11,0.045))),0))</f>
        <v>3645</v>
      </c>
    </row>
    <row r="26" spans="1:7" x14ac:dyDescent="0.45">
      <c r="B26" t="s">
        <v>26</v>
      </c>
      <c r="D26" t="s">
        <v>27</v>
      </c>
    </row>
    <row r="28" spans="1:7" x14ac:dyDescent="0.45">
      <c r="A28" t="s">
        <v>45</v>
      </c>
    </row>
    <row r="29" spans="1:7" x14ac:dyDescent="0.45">
      <c r="A29" t="s">
        <v>35</v>
      </c>
    </row>
    <row r="30" spans="1:7" x14ac:dyDescent="0.45">
      <c r="A30" t="s">
        <v>44</v>
      </c>
    </row>
    <row r="31" spans="1:7" x14ac:dyDescent="0.45">
      <c r="A31" t="s">
        <v>46</v>
      </c>
    </row>
    <row r="32" spans="1:7" x14ac:dyDescent="0.45">
      <c r="A32" t="s">
        <v>43</v>
      </c>
    </row>
    <row r="34" spans="1:8" x14ac:dyDescent="0.45">
      <c r="A34" t="s">
        <v>38</v>
      </c>
      <c r="B34" s="4">
        <v>77000</v>
      </c>
      <c r="C34" t="s">
        <v>40</v>
      </c>
      <c r="F34" s="4">
        <v>1.25</v>
      </c>
      <c r="G34" t="s">
        <v>41</v>
      </c>
      <c r="H34" s="1">
        <f>ROUND(PRODUCT(B34,POWER(SUM(1,F34/100),SUM(B11,-2017))),0)</f>
        <v>90495</v>
      </c>
    </row>
  </sheetData>
  <sheetProtection password="C849" sheet="1" objects="1" scenarios="1"/>
  <pageMargins left="0.7" right="0.7" top="0.75" bottom="0.75" header="0.3" footer="0.3"/>
  <pageSetup orientation="landscape" r:id="rId1"/>
  <ignoredErrors>
    <ignoredError sqref="E8 E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12" sqref="B12"/>
    </sheetView>
  </sheetViews>
  <sheetFormatPr defaultRowHeight="14.25" x14ac:dyDescent="0.45"/>
  <cols>
    <col min="1" max="1" width="27.59765625" customWidth="1"/>
    <col min="4" max="4" width="15.59765625" bestFit="1" customWidth="1"/>
    <col min="5" max="5" width="6" bestFit="1" customWidth="1"/>
    <col min="6" max="6" width="13.265625" bestFit="1" customWidth="1"/>
    <col min="7" max="7" width="22.1328125" bestFit="1" customWidth="1"/>
  </cols>
  <sheetData>
    <row r="1" spans="1:10" x14ac:dyDescent="0.45">
      <c r="A1" t="s">
        <v>33</v>
      </c>
    </row>
    <row r="2" spans="1:10" ht="15.75" x14ac:dyDescent="0.5">
      <c r="A2" t="s">
        <v>34</v>
      </c>
      <c r="J2" s="7" t="s">
        <v>54</v>
      </c>
    </row>
    <row r="3" spans="1:10" ht="15.75" x14ac:dyDescent="0.5">
      <c r="A3" t="s">
        <v>42</v>
      </c>
      <c r="J3" s="7" t="s">
        <v>52</v>
      </c>
    </row>
    <row r="4" spans="1:10" ht="15.75" x14ac:dyDescent="0.5">
      <c r="J4" s="7" t="s">
        <v>53</v>
      </c>
    </row>
    <row r="5" spans="1:10" ht="15.75" x14ac:dyDescent="0.5">
      <c r="A5" t="s">
        <v>3</v>
      </c>
      <c r="D5" t="s">
        <v>49</v>
      </c>
      <c r="E5" s="1">
        <f>SUM(B7:B8)</f>
        <v>32</v>
      </c>
      <c r="J5" s="7" t="s">
        <v>59</v>
      </c>
    </row>
    <row r="6" spans="1:10" x14ac:dyDescent="0.45">
      <c r="A6" t="s">
        <v>39</v>
      </c>
      <c r="B6" s="4">
        <v>93444</v>
      </c>
      <c r="D6" t="s">
        <v>15</v>
      </c>
      <c r="E6" s="1">
        <f>ROUND(PRODUCT(B7,1/E5,100),1)</f>
        <v>60.9</v>
      </c>
    </row>
    <row r="7" spans="1:10" x14ac:dyDescent="0.45">
      <c r="A7" t="s">
        <v>1</v>
      </c>
      <c r="B7" s="4">
        <v>19.5</v>
      </c>
      <c r="D7" t="s">
        <v>16</v>
      </c>
      <c r="E7" s="1">
        <f>SUM(100,-E6)</f>
        <v>39.1</v>
      </c>
    </row>
    <row r="8" spans="1:10" x14ac:dyDescent="0.45">
      <c r="A8" t="s">
        <v>2</v>
      </c>
      <c r="B8" s="4">
        <v>12.5</v>
      </c>
      <c r="D8" t="s">
        <v>50</v>
      </c>
      <c r="E8" s="1">
        <f>IF(SUM(B7:B8)&lt;35,SUM(B7:B8),35)</f>
        <v>32</v>
      </c>
      <c r="G8" t="s">
        <v>17</v>
      </c>
      <c r="H8" s="1">
        <f>IF(B9&gt;=60,IF(B10&gt;=60,0,SUM(60,-B10)),IF(B10&gt;=B9,0,IF(B10=60,0,IF(SUM(B9,-B10)&lt;0,0,SUM(B9,-B10)))))</f>
        <v>0</v>
      </c>
    </row>
    <row r="9" spans="1:10" x14ac:dyDescent="0.45">
      <c r="A9" t="s">
        <v>4</v>
      </c>
      <c r="B9" s="4">
        <v>57</v>
      </c>
      <c r="D9" t="s">
        <v>15</v>
      </c>
      <c r="E9" s="1">
        <f>ROUND(PRODUCT(B7,IF(E8=35,1/35,1/E8),100),1)</f>
        <v>60.9</v>
      </c>
      <c r="G9" t="s">
        <v>18</v>
      </c>
      <c r="H9" s="1">
        <f>IF(SUM(61,-B10)&lt;0,0,SUM(61,-B10))</f>
        <v>4</v>
      </c>
    </row>
    <row r="10" spans="1:10" x14ac:dyDescent="0.45">
      <c r="A10" t="s">
        <v>28</v>
      </c>
      <c r="B10" s="4">
        <v>57</v>
      </c>
      <c r="D10" t="s">
        <v>16</v>
      </c>
      <c r="E10" s="1">
        <f>SUM(100,-E9)</f>
        <v>39.1</v>
      </c>
      <c r="G10" t="s">
        <v>19</v>
      </c>
      <c r="H10" s="1">
        <f>IF(SUM(62,-B10)&lt;0,0,SUM(62,-B10))</f>
        <v>5</v>
      </c>
    </row>
    <row r="11" spans="1:10" x14ac:dyDescent="0.45">
      <c r="A11" t="s">
        <v>20</v>
      </c>
      <c r="B11" s="4">
        <v>2030</v>
      </c>
      <c r="G11" t="s">
        <v>48</v>
      </c>
      <c r="H11" s="1">
        <f>IF(SUM(61,-B10)&lt;0,0,IF(B12&lt;35,SUM(61,-B10),0))</f>
        <v>4</v>
      </c>
    </row>
    <row r="12" spans="1:10" x14ac:dyDescent="0.45">
      <c r="A12" t="s">
        <v>47</v>
      </c>
      <c r="B12" s="4">
        <v>32</v>
      </c>
    </row>
    <row r="13" spans="1:10" x14ac:dyDescent="0.45">
      <c r="A13" t="s">
        <v>36</v>
      </c>
      <c r="B13" s="5">
        <v>80000</v>
      </c>
    </row>
    <row r="14" spans="1:10" x14ac:dyDescent="0.45">
      <c r="D14" t="s">
        <v>24</v>
      </c>
      <c r="E14" s="1">
        <f>IF(B6&lt;B13,B6,B13)</f>
        <v>80000</v>
      </c>
    </row>
    <row r="15" spans="1:10" x14ac:dyDescent="0.45">
      <c r="D15" t="s">
        <v>25</v>
      </c>
      <c r="E15" s="1">
        <f>IF(B6&lt;B13,0,SUM(B6,-B13))</f>
        <v>13444</v>
      </c>
    </row>
    <row r="17" spans="1:7" x14ac:dyDescent="0.45">
      <c r="B17" t="s">
        <v>14</v>
      </c>
    </row>
    <row r="18" spans="1:7" x14ac:dyDescent="0.45">
      <c r="B18" t="s">
        <v>12</v>
      </c>
      <c r="C18" t="s">
        <v>0</v>
      </c>
      <c r="D18" t="s">
        <v>13</v>
      </c>
      <c r="F18" t="s">
        <v>32</v>
      </c>
      <c r="G18" t="s">
        <v>29</v>
      </c>
    </row>
    <row r="19" spans="1:7" x14ac:dyDescent="0.45">
      <c r="A19" t="s">
        <v>6</v>
      </c>
      <c r="B19" s="1">
        <f>IF(H8=0,ROUND(PRODUCT(SUM(PRODUCT(0.013,E14,E8),PRODUCT(0.02,E15,E8)),1/12),0),ROUND(PRODUCT(SUM(PRODUCT(0.013,E14,E8),PRODUCT(0.02,E15,E8)),PRODUCT(SUM(1,-PRODUCT(H8,0.03)))*1/12),0))</f>
        <v>3490</v>
      </c>
      <c r="C19" s="1">
        <f>IF(H8=0,IF(B6&lt;B13,ROUND(PRODUCT(0.007,B6,E8,1/12),0),ROUND(PRODUCT(0.007,B13,E8,1/12),0)),IF(B6&lt;B13,ROUND(PRODUCT(0.007,B6,E8,PRODUCT(SUM(1,-PRODUCT(H8,0.03)))*1/12),0),ROUND(PRODUCT(0.007,B13,E8,PRODUCT(SUM(1,-PRODUCT(H8,0.03))),1/12),0)))</f>
        <v>1493</v>
      </c>
      <c r="D19" s="1">
        <f>SUM(B19:C19)</f>
        <v>4983</v>
      </c>
      <c r="F19" t="s">
        <v>31</v>
      </c>
      <c r="G19" t="s">
        <v>30</v>
      </c>
    </row>
    <row r="20" spans="1:7" x14ac:dyDescent="0.45">
      <c r="A20" t="s">
        <v>7</v>
      </c>
      <c r="B20" s="1">
        <f>ROUND(SUM(PRODUCT(B19,E9/100),PRODUCT(G20,E10/100)),0)</f>
        <v>3669</v>
      </c>
      <c r="C20" s="1">
        <f>ROUND(PRODUCT(C19,E9/100),0)</f>
        <v>909</v>
      </c>
      <c r="D20" s="1">
        <f t="shared" ref="D20:D24" si="0">SUM(B20:C20)</f>
        <v>4578</v>
      </c>
      <c r="F20" s="1">
        <f>IF(PRODUCT(SUM(65,-B10),SUM(D19,-D20),1/SUM(B20,-B19))&lt;0,"nope",ROUND(SUM(65,PRODUCT(SUM(65,-B10),SUM(D19,-D20),1/SUM(B20,-B19))),0))</f>
        <v>83</v>
      </c>
      <c r="G20" s="1">
        <f>IF(H9=0,ROUND(PRODUCT(B6,0.018,E8,1/12),0),ROUND(PRODUCT(B6,0.018,E8,1/12,SUM(1,-PRODUCT(H9,0.03))),0))</f>
        <v>3947</v>
      </c>
    </row>
    <row r="21" spans="1:7" x14ac:dyDescent="0.45">
      <c r="A21" t="s">
        <v>8</v>
      </c>
      <c r="B21" s="1">
        <f>ROUND(SUM(PRODUCT(B19,E9/100),PRODUCT(G21,E10/100)),0)</f>
        <v>3633</v>
      </c>
      <c r="C21" s="1">
        <f>ROUND(PRODUCT(C19,E9/100),0)</f>
        <v>909</v>
      </c>
      <c r="D21" s="1">
        <f t="shared" si="0"/>
        <v>4542</v>
      </c>
      <c r="F21" s="1">
        <f>IF(PRODUCT(SUM(65,-B10),SUM(D19,-D21),1/SUM(B21,-B19))&lt;0,"nope",ROUND(SUM(65,PRODUCT(SUM(65,-B10),SUM(D19,-D21),1/SUM(B21,-B19))),0))</f>
        <v>90</v>
      </c>
      <c r="G21" s="1">
        <f>IF(H9=0,ROUND(PRODUCT(B6,0.018,E8,1/12),0),ROUND(PRODUCT(B6,0.018,E8,1/12,SUM(1,-PRODUCT(H9,0.035))),0))</f>
        <v>3857</v>
      </c>
    </row>
    <row r="22" spans="1:7" x14ac:dyDescent="0.45">
      <c r="A22" t="s">
        <v>9</v>
      </c>
      <c r="B22" s="1">
        <f>ROUND(SUM(PRODUCT(B19,E9/100),PRODUCT(G22,E10/100)),0)</f>
        <v>3639</v>
      </c>
      <c r="C22" s="1">
        <f>ROUND(PRODUCT(C19,E9/100),0)</f>
        <v>909</v>
      </c>
      <c r="D22" s="1">
        <f t="shared" si="0"/>
        <v>4548</v>
      </c>
      <c r="F22" s="1">
        <f>IF(PRODUCT(SUM(65,-B10),SUM(D19,-D22),1/SUM(B22,-B19))&lt;0,"nope",ROUND(SUM(65,PRODUCT(SUM(65,-B10),SUM(D19,-D22),1/SUM(B22,-B19))),0))</f>
        <v>88</v>
      </c>
      <c r="G22" s="1">
        <f>IF(H9=0,ROUND(PRODUCT(B6,0.0185,E8,1/12),0),ROUND(PRODUCT(B6,0.0185,E8,1/12,SUM(1,-PRODUCT(H9,0.04))),0))</f>
        <v>3872</v>
      </c>
    </row>
    <row r="23" spans="1:7" x14ac:dyDescent="0.45">
      <c r="A23" t="s">
        <v>10</v>
      </c>
      <c r="B23" s="1">
        <f>ROUND(SUM(PRODUCT(B19,E9/100),PRODUCT(G23,E10/100)),0)</f>
        <v>3657</v>
      </c>
      <c r="C23" s="1">
        <f>ROUND(PRODUCT(C19,E9/100),0)</f>
        <v>909</v>
      </c>
      <c r="D23" s="1">
        <f t="shared" si="0"/>
        <v>4566</v>
      </c>
      <c r="F23" s="1">
        <f>IF(PRODUCT(SUM(65,-B10),SUM(D19,-D23),1/SUM(B23,-B19))&lt;0,"nope",ROUND(SUM(65,PRODUCT(SUM(65,-B10),SUM(D19,-D23),1/SUM(B23,-B19))),0))</f>
        <v>85</v>
      </c>
      <c r="G23" s="1">
        <f>IF(H10=0,ROUND(PRODUCT(B6,0.0185,E8,1/12),0),ROUND(PRODUCT(B6,0.0185,E8,1/12,SUM(1,-PRODUCT(H10,0.03))),0))</f>
        <v>3918</v>
      </c>
    </row>
    <row r="24" spans="1:7" x14ac:dyDescent="0.45">
      <c r="A24" t="s">
        <v>11</v>
      </c>
      <c r="B24" s="1">
        <f>ROUND(SUM(PRODUCT(B19,E9/100),PRODUCT(G24,E10/100)),0)</f>
        <v>3587</v>
      </c>
      <c r="C24" s="1">
        <f>ROUND(PRODUCT(C19,E9/100),0)</f>
        <v>909</v>
      </c>
      <c r="D24" s="1">
        <f t="shared" si="0"/>
        <v>4496</v>
      </c>
      <c r="F24" s="1">
        <f>IF(PRODUCT(SUM(65,-B10),SUM(D19,-D24),1/SUM(B24,-B19))&lt;0,"nope",ROUND(SUM(65,PRODUCT(SUM(65,-B10),SUM(D19,-D24),1/SUM(B24,-B19))),0))</f>
        <v>105</v>
      </c>
      <c r="G24" s="1">
        <f>IF(H10=0,ROUND(PRODUCT(B6,0.02,E8,1/12),0),ROUND(PRODUCT(B6,0.02,E8,1/12,SUM(1,-PRODUCT(H10,0.05))),0))</f>
        <v>3738</v>
      </c>
    </row>
    <row r="25" spans="1:7" x14ac:dyDescent="0.45">
      <c r="A25" s="6" t="s">
        <v>51</v>
      </c>
      <c r="B25" s="1">
        <f>ROUND(SUM(PRODUCT(B19,E6/100),PRODUCT(G25,E7/100)),0)</f>
        <v>3603</v>
      </c>
      <c r="C25" s="1">
        <f>ROUND(PRODUCT(C19,E6/100),0)</f>
        <v>909</v>
      </c>
      <c r="D25" s="1">
        <f>SUM(B25:C25)</f>
        <v>4512</v>
      </c>
      <c r="F25" s="1">
        <f>ROUND(SUM(65,PRODUCT(SUM(65,-B10),SUM(D19,-D25),1/SUM(B25,-B19))),0)</f>
        <v>98</v>
      </c>
      <c r="G25" s="1">
        <f>IF(H11=0,ROUND(PRODUCT(B6,0.0185,E5,1/12),0),ROUND(PRODUCT(B6,0.0185,E5,1/12,SUM(1,-PRODUCT(H11,0.045))),0))</f>
        <v>3780</v>
      </c>
    </row>
    <row r="26" spans="1:7" x14ac:dyDescent="0.45">
      <c r="B26" t="s">
        <v>26</v>
      </c>
      <c r="D26" t="s">
        <v>27</v>
      </c>
    </row>
    <row r="28" spans="1:7" x14ac:dyDescent="0.45">
      <c r="A28" t="s">
        <v>45</v>
      </c>
    </row>
    <row r="29" spans="1:7" x14ac:dyDescent="0.45">
      <c r="A29" t="s">
        <v>35</v>
      </c>
    </row>
    <row r="30" spans="1:7" x14ac:dyDescent="0.45">
      <c r="A30" t="s">
        <v>44</v>
      </c>
    </row>
    <row r="31" spans="1:7" x14ac:dyDescent="0.45">
      <c r="A31" t="s">
        <v>46</v>
      </c>
    </row>
    <row r="32" spans="1:7" x14ac:dyDescent="0.45">
      <c r="A32" t="s">
        <v>37</v>
      </c>
    </row>
    <row r="34" spans="1:8" x14ac:dyDescent="0.45">
      <c r="A34" t="s">
        <v>38</v>
      </c>
      <c r="B34" s="4">
        <v>77000</v>
      </c>
      <c r="C34" t="s">
        <v>40</v>
      </c>
      <c r="F34" s="4">
        <v>1.5</v>
      </c>
      <c r="G34" t="s">
        <v>41</v>
      </c>
      <c r="H34" s="1">
        <f>ROUND(PRODUCT(B34,POWER(SUM(1,F34/100),SUM(B11,-2017))),0)</f>
        <v>93444</v>
      </c>
    </row>
  </sheetData>
  <sheetProtection password="C849" sheet="1" objects="1" scenarios="1"/>
  <pageMargins left="0.7" right="0.7" top="0.75" bottom="0.75" header="0.3" footer="0.3"/>
  <pageSetup orientation="landscape" r:id="rId1"/>
  <ignoredErrors>
    <ignoredError sqref="E5 E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12" sqref="B12"/>
    </sheetView>
  </sheetViews>
  <sheetFormatPr defaultRowHeight="14.25" x14ac:dyDescent="0.45"/>
  <cols>
    <col min="1" max="1" width="27.3984375" customWidth="1"/>
    <col min="4" max="4" width="15.59765625" bestFit="1" customWidth="1"/>
    <col min="5" max="5" width="6" bestFit="1" customWidth="1"/>
    <col min="6" max="6" width="13.265625" bestFit="1" customWidth="1"/>
    <col min="7" max="7" width="22.1328125" bestFit="1" customWidth="1"/>
  </cols>
  <sheetData>
    <row r="1" spans="1:10" x14ac:dyDescent="0.45">
      <c r="A1" t="s">
        <v>33</v>
      </c>
    </row>
    <row r="2" spans="1:10" ht="15.75" x14ac:dyDescent="0.5">
      <c r="A2" t="s">
        <v>34</v>
      </c>
      <c r="J2" s="7" t="s">
        <v>54</v>
      </c>
    </row>
    <row r="3" spans="1:10" ht="15.75" x14ac:dyDescent="0.5">
      <c r="A3" t="s">
        <v>42</v>
      </c>
      <c r="J3" s="7" t="s">
        <v>52</v>
      </c>
    </row>
    <row r="4" spans="1:10" ht="15.75" x14ac:dyDescent="0.5">
      <c r="J4" s="7" t="s">
        <v>53</v>
      </c>
    </row>
    <row r="5" spans="1:10" ht="15.75" x14ac:dyDescent="0.5">
      <c r="A5" t="s">
        <v>3</v>
      </c>
      <c r="J5" s="7" t="s">
        <v>58</v>
      </c>
    </row>
    <row r="6" spans="1:10" x14ac:dyDescent="0.45">
      <c r="A6" t="s">
        <v>39</v>
      </c>
      <c r="B6" s="4">
        <v>90100</v>
      </c>
    </row>
    <row r="7" spans="1:10" x14ac:dyDescent="0.45">
      <c r="A7" t="s">
        <v>1</v>
      </c>
      <c r="B7" s="4">
        <v>19.5</v>
      </c>
    </row>
    <row r="8" spans="1:10" x14ac:dyDescent="0.45">
      <c r="A8" t="s">
        <v>2</v>
      </c>
      <c r="B8" s="4">
        <v>12.5</v>
      </c>
      <c r="D8" t="s">
        <v>5</v>
      </c>
      <c r="E8" s="1">
        <f>SUM(B7:B8)</f>
        <v>32</v>
      </c>
      <c r="G8" t="s">
        <v>17</v>
      </c>
      <c r="H8" s="1">
        <f>IF(B9&gt;=60,IF(B10&gt;=60,0,SUM(60,-B10)),IF(B10&gt;=B9,0,IF(B10=60,0,IF(SUM(B9,-B10)&lt;0,0,SUM(B9,-B10)))))</f>
        <v>0</v>
      </c>
    </row>
    <row r="9" spans="1:10" x14ac:dyDescent="0.45">
      <c r="A9" t="s">
        <v>4</v>
      </c>
      <c r="B9" s="4">
        <v>57</v>
      </c>
      <c r="D9" t="s">
        <v>15</v>
      </c>
      <c r="E9" s="1">
        <f>ROUND(PRODUCT(B7,1/E8,100),1)</f>
        <v>60.9</v>
      </c>
      <c r="G9" t="s">
        <v>55</v>
      </c>
      <c r="H9" s="1">
        <f>IF(SUM(61,-B10)&lt;0,0,IF(B12&lt;35,SUM(61,-B10),0))</f>
        <v>4</v>
      </c>
    </row>
    <row r="10" spans="1:10" x14ac:dyDescent="0.45">
      <c r="A10" t="s">
        <v>28</v>
      </c>
      <c r="B10" s="4">
        <v>57</v>
      </c>
      <c r="D10" t="s">
        <v>16</v>
      </c>
      <c r="E10" s="1">
        <f>SUM(100,-E9)</f>
        <v>39.1</v>
      </c>
      <c r="G10" t="s">
        <v>56</v>
      </c>
      <c r="H10" s="1">
        <f>IF(SUM(62,-B10)&lt;0,0,IF(B12&lt;35,SUM(62,-B10),0))</f>
        <v>5</v>
      </c>
    </row>
    <row r="11" spans="1:10" x14ac:dyDescent="0.45">
      <c r="A11" t="s">
        <v>20</v>
      </c>
      <c r="B11" s="4">
        <v>2030</v>
      </c>
      <c r="D11" t="s">
        <v>21</v>
      </c>
      <c r="E11" s="1">
        <f>ROUND(PRODUCT(53600,POWER(1.024,SUM(B11,-2015))),-2)</f>
        <v>76500</v>
      </c>
    </row>
    <row r="12" spans="1:10" x14ac:dyDescent="0.45">
      <c r="A12" t="s">
        <v>47</v>
      </c>
      <c r="B12" s="4">
        <v>34</v>
      </c>
      <c r="D12" t="s">
        <v>23</v>
      </c>
    </row>
    <row r="14" spans="1:10" x14ac:dyDescent="0.45">
      <c r="D14" t="s">
        <v>24</v>
      </c>
      <c r="E14" s="1">
        <f>IF(B6&lt;E11,B6,E11)</f>
        <v>76500</v>
      </c>
    </row>
    <row r="15" spans="1:10" x14ac:dyDescent="0.45">
      <c r="D15" t="s">
        <v>25</v>
      </c>
      <c r="E15" s="1">
        <f>IF(B6&lt;E11,0,SUM(B6,-E11))</f>
        <v>13600</v>
      </c>
    </row>
    <row r="17" spans="1:7" x14ac:dyDescent="0.45">
      <c r="B17" t="s">
        <v>14</v>
      </c>
    </row>
    <row r="18" spans="1:7" x14ac:dyDescent="0.45">
      <c r="B18" t="s">
        <v>12</v>
      </c>
      <c r="C18" t="s">
        <v>0</v>
      </c>
      <c r="D18" t="s">
        <v>13</v>
      </c>
      <c r="F18" t="s">
        <v>32</v>
      </c>
      <c r="G18" t="s">
        <v>29</v>
      </c>
    </row>
    <row r="19" spans="1:7" x14ac:dyDescent="0.45">
      <c r="A19" t="s">
        <v>6</v>
      </c>
      <c r="B19" s="1">
        <f>IF(H8=0,ROUND(PRODUCT(SUM(PRODUCT(0.013,E14,IF(E8&lt;35,E8,35)),PRODUCT(0.02,E15,IF(E8&lt;35,E8,35))),1/12),0),ROUND(PRODUCT(SUM(PRODUCT(0.013,E14,IF(E8&lt;35,E8,35)),PRODUCT(0.02,E15,IF(E8&lt;35,E8,35))),PRODUCT(SUM(1,-PRODUCT(H8,0.03)))*1/12),0))</f>
        <v>3377</v>
      </c>
      <c r="C19" s="1">
        <f>IF(H8=0,IF(B6&lt;E11,ROUND(PRODUCT(0.007,B6,IF(E8&lt;35,E8,35),1/12),0),ROUND(PRODUCT(0.007,E11,IF(E8&lt;35,E8,35),1/12),0)),IF(B6&lt;E11,ROUND(PRODUCT(0.007,B6,IF(E8&lt;35,E8,35),PRODUCT(SUM(1,-PRODUCT(H8,0.03)))*1/12),0),ROUND(PRODUCT(0.007,E11,IF(E8&lt;35,E8,35),PRODUCT(SUM(1,-PRODUCT(H8,0.03))),1/12),0)))</f>
        <v>1428</v>
      </c>
      <c r="D19" s="1">
        <f t="shared" ref="D19:D25" si="0">SUM(B19:C19)</f>
        <v>4805</v>
      </c>
      <c r="F19" t="s">
        <v>31</v>
      </c>
      <c r="G19" t="s">
        <v>30</v>
      </c>
    </row>
    <row r="20" spans="1:7" x14ac:dyDescent="0.45">
      <c r="A20" t="s">
        <v>7</v>
      </c>
      <c r="B20" s="1">
        <f>ROUND(SUM(PRODUCT(B19,E9/100),PRODUCT(G20,E10/100)),0)</f>
        <v>3545</v>
      </c>
      <c r="C20" s="1">
        <f>ROUND(PRODUCT(C19,E9/100),0)</f>
        <v>870</v>
      </c>
      <c r="D20" s="1">
        <f t="shared" si="0"/>
        <v>4415</v>
      </c>
      <c r="F20" s="1">
        <f>ROUND(SUM(65,PRODUCT(SUM(65,-B10),SUM(D19,-D20),1/SUM(B20,-B19))),0)</f>
        <v>84</v>
      </c>
      <c r="G20" s="1">
        <f>IF(H9=0,ROUND(PRODUCT(B6,0.018,E8,1/12),0),ROUND(PRODUCT(B6,0.018,E8,1/12,SUM(1,-PRODUCT(H9,0.03))),0))</f>
        <v>3806</v>
      </c>
    </row>
    <row r="21" spans="1:7" x14ac:dyDescent="0.45">
      <c r="A21" t="s">
        <v>8</v>
      </c>
      <c r="B21" s="1">
        <f>ROUND(SUM(PRODUCT(B19,E9/100),PRODUCT(G21,E10/100)),0)</f>
        <v>3511</v>
      </c>
      <c r="C21" s="1">
        <f>ROUND(PRODUCT(C19,E9/100),0)</f>
        <v>870</v>
      </c>
      <c r="D21" s="1">
        <f t="shared" si="0"/>
        <v>4381</v>
      </c>
      <c r="F21" s="1">
        <f>ROUND(SUM(65,PRODUCT(SUM(65,-B10),SUM(D19,-D21),1/SUM(B21,-B19))),0)</f>
        <v>90</v>
      </c>
      <c r="G21" s="1">
        <f>IF(H9=0,ROUND(PRODUCT(B6,0.018,E8,1/12),0),ROUND(PRODUCT(B6,0.018,E8,1/12,SUM(1,-PRODUCT(H9,0.035))),0))</f>
        <v>3719</v>
      </c>
    </row>
    <row r="22" spans="1:7" x14ac:dyDescent="0.45">
      <c r="A22" t="s">
        <v>9</v>
      </c>
      <c r="B22" s="1">
        <f>ROUND(SUM(PRODUCT(B19,E9/100),PRODUCT(G22,E10/100)),0)</f>
        <v>3517</v>
      </c>
      <c r="C22" s="1">
        <f>ROUND(PRODUCT(C19,E9/100),0)</f>
        <v>870</v>
      </c>
      <c r="D22" s="1">
        <f t="shared" si="0"/>
        <v>4387</v>
      </c>
      <c r="F22" s="1">
        <f>ROUND(SUM(65,PRODUCT(SUM(65,-B10),SUM(D19,-D22),1/SUM(B22,-B19))),0)</f>
        <v>89</v>
      </c>
      <c r="G22" s="1">
        <f>IF(H9=0,ROUND(PRODUCT(B6,0.0185,E8,1/12),0),ROUND(PRODUCT(B6,0.0185,E8,1/12,SUM(1,-PRODUCT(H9,0.04))),0))</f>
        <v>3734</v>
      </c>
    </row>
    <row r="23" spans="1:7" x14ac:dyDescent="0.45">
      <c r="A23" t="s">
        <v>10</v>
      </c>
      <c r="B23" s="1">
        <f>ROUND(SUM(PRODUCT(B19,E9/100),PRODUCT(G23,E10/100)),0)</f>
        <v>3534</v>
      </c>
      <c r="C23" s="1">
        <f>ROUND(PRODUCT(C19,E9/100),0)</f>
        <v>870</v>
      </c>
      <c r="D23" s="1">
        <f t="shared" si="0"/>
        <v>4404</v>
      </c>
      <c r="F23" s="1">
        <f>ROUND(SUM(65,PRODUCT(SUM(65,-B10),SUM(D19,-D23),1/SUM(B23,-B19))),0)</f>
        <v>85</v>
      </c>
      <c r="G23" s="1">
        <f>IF(H10=0,ROUND(PRODUCT(B6,0.0185,E8,1/12),0),ROUND(PRODUCT(B6,0.0185,E8,1/12,SUM(1,-PRODUCT(H10,0.03))),0))</f>
        <v>3778</v>
      </c>
    </row>
    <row r="24" spans="1:7" x14ac:dyDescent="0.45">
      <c r="A24" t="s">
        <v>11</v>
      </c>
      <c r="B24" s="1">
        <f>ROUND(SUM(PRODUCT(B19,E9/100),PRODUCT(G24,E10/100)),0)</f>
        <v>3466</v>
      </c>
      <c r="C24" s="1">
        <f>ROUND(PRODUCT(C19,E9/100),0)</f>
        <v>870</v>
      </c>
      <c r="D24" s="1">
        <f t="shared" si="0"/>
        <v>4336</v>
      </c>
      <c r="F24" s="1">
        <f>ROUND(SUM(65,PRODUCT(SUM(65,-B10),SUM(D19,-D24),1/SUM(B24,-B19))),0)</f>
        <v>107</v>
      </c>
      <c r="G24" s="1">
        <f>IF(H10=0,ROUND(PRODUCT(B6,0.02,E8,1/12),0),ROUND(PRODUCT(B6,0.02,E8,1/12,SUM(1,-PRODUCT(H10,0.05))),0))</f>
        <v>3604</v>
      </c>
    </row>
    <row r="25" spans="1:7" x14ac:dyDescent="0.45">
      <c r="A25" s="6" t="s">
        <v>51</v>
      </c>
      <c r="B25" s="1">
        <f>ROUND(SUM(PRODUCT(B19,E9/100),PRODUCT(G25,E10/100)),0)</f>
        <v>3482</v>
      </c>
      <c r="C25" s="1">
        <f>ROUND(PRODUCT(C19,E9/100),0)</f>
        <v>870</v>
      </c>
      <c r="D25" s="1">
        <f t="shared" si="0"/>
        <v>4352</v>
      </c>
      <c r="F25" s="1">
        <f>ROUND(SUM(65,PRODUCT(SUM(65,-B10),SUM(D19,-D25),1/SUM(B25,-B19))),0)</f>
        <v>100</v>
      </c>
      <c r="G25" s="1">
        <f>IF(H9=0,ROUND(PRODUCT(B6,0.0185,E8,1/12),0),ROUND(PRODUCT(B6,0.0185,E8,1/12,SUM(1,-PRODUCT(H9,0.045))),0))</f>
        <v>3645</v>
      </c>
    </row>
    <row r="26" spans="1:7" x14ac:dyDescent="0.45">
      <c r="B26" t="s">
        <v>26</v>
      </c>
      <c r="D26" t="s">
        <v>27</v>
      </c>
    </row>
    <row r="28" spans="1:7" x14ac:dyDescent="0.45">
      <c r="A28" t="s">
        <v>45</v>
      </c>
    </row>
    <row r="29" spans="1:7" x14ac:dyDescent="0.45">
      <c r="A29" t="s">
        <v>35</v>
      </c>
    </row>
    <row r="30" spans="1:7" x14ac:dyDescent="0.45">
      <c r="A30" t="s">
        <v>44</v>
      </c>
    </row>
    <row r="31" spans="1:7" x14ac:dyDescent="0.45">
      <c r="A31" t="s">
        <v>46</v>
      </c>
    </row>
    <row r="32" spans="1:7" x14ac:dyDescent="0.45">
      <c r="A32" t="s">
        <v>43</v>
      </c>
    </row>
    <row r="34" spans="1:8" x14ac:dyDescent="0.45">
      <c r="A34" t="s">
        <v>38</v>
      </c>
      <c r="B34" s="4">
        <v>77000</v>
      </c>
      <c r="C34" t="s">
        <v>40</v>
      </c>
      <c r="F34" s="4">
        <v>1.25</v>
      </c>
      <c r="G34" t="s">
        <v>41</v>
      </c>
      <c r="H34" s="1">
        <f>ROUND(PRODUCT(B34,POWER(SUM(1,F34/100),SUM(B11,-2017))),0)</f>
        <v>90495</v>
      </c>
    </row>
  </sheetData>
  <pageMargins left="0.7" right="0.7" top="0.75" bottom="0.75" header="0.3" footer="0.3"/>
  <pageSetup orientation="landscape" r:id="rId1"/>
  <ignoredErrors>
    <ignoredError sqref="E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12" sqref="B12"/>
    </sheetView>
  </sheetViews>
  <sheetFormatPr defaultRowHeight="14.25" x14ac:dyDescent="0.45"/>
  <cols>
    <col min="1" max="1" width="27.59765625" customWidth="1"/>
    <col min="4" max="4" width="15.59765625" bestFit="1" customWidth="1"/>
    <col min="5" max="5" width="6" bestFit="1" customWidth="1"/>
    <col min="6" max="6" width="13.265625" bestFit="1" customWidth="1"/>
    <col min="7" max="7" width="22.1328125" bestFit="1" customWidth="1"/>
  </cols>
  <sheetData>
    <row r="1" spans="1:10" x14ac:dyDescent="0.45">
      <c r="A1" t="s">
        <v>33</v>
      </c>
    </row>
    <row r="2" spans="1:10" ht="15.75" x14ac:dyDescent="0.5">
      <c r="A2" t="s">
        <v>34</v>
      </c>
      <c r="J2" s="7" t="s">
        <v>54</v>
      </c>
    </row>
    <row r="3" spans="1:10" ht="15.75" x14ac:dyDescent="0.5">
      <c r="A3" t="s">
        <v>42</v>
      </c>
      <c r="J3" s="7" t="s">
        <v>52</v>
      </c>
    </row>
    <row r="4" spans="1:10" ht="15.75" x14ac:dyDescent="0.5">
      <c r="J4" s="7" t="s">
        <v>53</v>
      </c>
    </row>
    <row r="5" spans="1:10" ht="15.75" x14ac:dyDescent="0.5">
      <c r="A5" t="s">
        <v>3</v>
      </c>
      <c r="J5" s="7" t="s">
        <v>57</v>
      </c>
    </row>
    <row r="6" spans="1:10" x14ac:dyDescent="0.45">
      <c r="A6" t="s">
        <v>39</v>
      </c>
      <c r="B6" s="4">
        <v>93444</v>
      </c>
    </row>
    <row r="7" spans="1:10" x14ac:dyDescent="0.45">
      <c r="A7" t="s">
        <v>1</v>
      </c>
      <c r="B7" s="4">
        <v>19.5</v>
      </c>
    </row>
    <row r="8" spans="1:10" x14ac:dyDescent="0.45">
      <c r="A8" t="s">
        <v>2</v>
      </c>
      <c r="B8" s="4">
        <v>12.5</v>
      </c>
      <c r="D8" t="s">
        <v>5</v>
      </c>
      <c r="E8" s="1">
        <f>SUM(B7:B8)</f>
        <v>32</v>
      </c>
      <c r="G8" t="s">
        <v>17</v>
      </c>
      <c r="H8" s="1">
        <f>IF(B9&gt;=60,IF(B10&gt;=60,0,SUM(60,-B10)),IF(B10&gt;=B9,0,IF(B10=60,0,IF(SUM(B9,-B10)&lt;0,0,SUM(B9,-B10)))))</f>
        <v>0</v>
      </c>
    </row>
    <row r="9" spans="1:10" x14ac:dyDescent="0.45">
      <c r="A9" t="s">
        <v>4</v>
      </c>
      <c r="B9" s="4">
        <v>57</v>
      </c>
      <c r="D9" t="s">
        <v>15</v>
      </c>
      <c r="E9" s="1">
        <f>ROUND(PRODUCT(B7,1/E8,100),1)</f>
        <v>60.9</v>
      </c>
      <c r="G9" t="s">
        <v>55</v>
      </c>
      <c r="H9" s="1">
        <f>IF(SUM(61,-B10)&lt;0,0,IF(B12&lt;35,SUM(61,-B10),0))</f>
        <v>0</v>
      </c>
    </row>
    <row r="10" spans="1:10" x14ac:dyDescent="0.45">
      <c r="A10" t="s">
        <v>28</v>
      </c>
      <c r="B10" s="4">
        <v>57</v>
      </c>
      <c r="D10" t="s">
        <v>16</v>
      </c>
      <c r="E10" s="1">
        <f>SUM(100,-E9)</f>
        <v>39.1</v>
      </c>
      <c r="G10" t="s">
        <v>56</v>
      </c>
      <c r="H10" s="1">
        <f>IF(SUM(62,-B10)&lt;0,0,IF(B12&lt;35,SUM(62,-B10),0))</f>
        <v>0</v>
      </c>
    </row>
    <row r="11" spans="1:10" x14ac:dyDescent="0.45">
      <c r="A11" t="s">
        <v>20</v>
      </c>
      <c r="B11" s="4">
        <v>2030</v>
      </c>
    </row>
    <row r="12" spans="1:10" x14ac:dyDescent="0.45">
      <c r="A12" t="s">
        <v>47</v>
      </c>
      <c r="B12" s="4">
        <v>35</v>
      </c>
    </row>
    <row r="13" spans="1:10" x14ac:dyDescent="0.45">
      <c r="A13" t="s">
        <v>36</v>
      </c>
      <c r="B13" s="5">
        <v>80000</v>
      </c>
    </row>
    <row r="14" spans="1:10" x14ac:dyDescent="0.45">
      <c r="D14" t="s">
        <v>24</v>
      </c>
      <c r="E14" s="1">
        <f>IF(B6&lt;B13,B6,B13)</f>
        <v>80000</v>
      </c>
    </row>
    <row r="15" spans="1:10" x14ac:dyDescent="0.45">
      <c r="D15" t="s">
        <v>25</v>
      </c>
      <c r="E15" s="1">
        <f>IF(B6&lt;B13,0,SUM(B6,-B13))</f>
        <v>13444</v>
      </c>
    </row>
    <row r="17" spans="1:7" x14ac:dyDescent="0.45">
      <c r="B17" t="s">
        <v>14</v>
      </c>
    </row>
    <row r="18" spans="1:7" x14ac:dyDescent="0.45">
      <c r="B18" t="s">
        <v>12</v>
      </c>
      <c r="C18" t="s">
        <v>0</v>
      </c>
      <c r="D18" t="s">
        <v>13</v>
      </c>
      <c r="F18" t="s">
        <v>32</v>
      </c>
      <c r="G18" t="s">
        <v>29</v>
      </c>
    </row>
    <row r="19" spans="1:7" x14ac:dyDescent="0.45">
      <c r="A19" t="s">
        <v>6</v>
      </c>
      <c r="B19" s="1">
        <f>IF(H8=0,ROUND(PRODUCT(SUM(PRODUCT(0.013,E14,IF(E8&lt;35,E8,35)),PRODUCT(0.02,E15,IF(E8&lt;35,E8,35))),1/12),0),ROUND(PRODUCT(SUM(PRODUCT(0.013,E14,IF(E8&lt;35,E8,35)),PRODUCT(0.02,E15,IF(E8&lt;35,E8,35))),PRODUCT(SUM(1,-PRODUCT(H8,0.03)))*1/12),0))</f>
        <v>3490</v>
      </c>
      <c r="C19" s="1">
        <f>IF(H8=0,IF(B6&lt;B13,ROUND(PRODUCT(0.007,B6,IF(E8&lt;35,E8,35),1/12),0),ROUND(PRODUCT(0.007,B13,IF(E8&lt;35,E8,35),1/12),0)),IF(B6&lt;B13,ROUND(PRODUCT(0.007,B6,IF(E8&lt;35,E8,35),PRODUCT(SUM(1,-PRODUCT(H8,0.03)))*1/12),0),ROUND(PRODUCT(0.007,B13,IF(E8&lt;35,E8,35),PRODUCT(SUM(1,-PRODUCT(H8,0.03))),1/12),0)))</f>
        <v>1493</v>
      </c>
      <c r="D19" s="1">
        <f t="shared" ref="D19:D25" si="0">SUM(B19:C19)</f>
        <v>4983</v>
      </c>
      <c r="F19" t="s">
        <v>31</v>
      </c>
      <c r="G19" t="s">
        <v>30</v>
      </c>
    </row>
    <row r="20" spans="1:7" x14ac:dyDescent="0.45">
      <c r="A20" t="s">
        <v>7</v>
      </c>
      <c r="B20" s="1">
        <f>ROUND(SUM(PRODUCT(B19,E9/100),PRODUCT(G20,E10/100)),0)</f>
        <v>3879</v>
      </c>
      <c r="C20" s="1">
        <f>ROUND(PRODUCT(C19,E9/100),0)</f>
        <v>909</v>
      </c>
      <c r="D20" s="1">
        <f t="shared" si="0"/>
        <v>4788</v>
      </c>
      <c r="F20" s="1">
        <f>ROUND(SUM(65,PRODUCT(SUM(65,-B10),SUM(D19,-D20),1/SUM(B20,-B19))),0)</f>
        <v>69</v>
      </c>
      <c r="G20" s="1">
        <f>IF(H9=0,ROUND(PRODUCT(B6,0.018,E8,1/12),0),ROUND(PRODUCT(B6,0.018,E8,1/12,SUM(1,-PRODUCT(H9,0.03))),0))</f>
        <v>4485</v>
      </c>
    </row>
    <row r="21" spans="1:7" x14ac:dyDescent="0.45">
      <c r="A21" t="s">
        <v>8</v>
      </c>
      <c r="B21" s="1">
        <f>ROUND(SUM(PRODUCT(B19,E9/100),PRODUCT(G21,E10/100)),0)</f>
        <v>3879</v>
      </c>
      <c r="C21" s="1">
        <f>ROUND(PRODUCT(C19,E9/100),0)</f>
        <v>909</v>
      </c>
      <c r="D21" s="1">
        <f t="shared" si="0"/>
        <v>4788</v>
      </c>
      <c r="F21" s="1">
        <f>ROUND(SUM(65,PRODUCT(SUM(65,-B10),SUM(D19,-D21),1/SUM(B21,-B19))),0)</f>
        <v>69</v>
      </c>
      <c r="G21" s="1">
        <f>IF(H9=0,ROUND(PRODUCT(B6,0.018,E8,1/12),0),ROUND(PRODUCT(B6,0.018,E8,1/12,SUM(1,-PRODUCT(H9,0.035))),0))</f>
        <v>4485</v>
      </c>
    </row>
    <row r="22" spans="1:7" x14ac:dyDescent="0.45">
      <c r="A22" t="s">
        <v>9</v>
      </c>
      <c r="B22" s="1">
        <f>ROUND(SUM(PRODUCT(B19,E9/100),PRODUCT(G22,E10/100)),0)</f>
        <v>3928</v>
      </c>
      <c r="C22" s="1">
        <f>ROUND(PRODUCT(C19,E9/100),0)</f>
        <v>909</v>
      </c>
      <c r="D22" s="1">
        <f t="shared" si="0"/>
        <v>4837</v>
      </c>
      <c r="F22" s="1">
        <f>ROUND(SUM(65,PRODUCT(SUM(65,-B10),SUM(D19,-D22),1/SUM(B22,-B19))),0)</f>
        <v>68</v>
      </c>
      <c r="G22" s="1">
        <f>IF(H9=0,ROUND(PRODUCT(B6,0.0185,E8,1/12),0),ROUND(PRODUCT(B6,0.0185,E8,1/12,SUM(1,-PRODUCT(H9,0.04))),0))</f>
        <v>4610</v>
      </c>
    </row>
    <row r="23" spans="1:7" x14ac:dyDescent="0.45">
      <c r="A23" t="s">
        <v>10</v>
      </c>
      <c r="B23" s="1">
        <f>ROUND(SUM(PRODUCT(B19,E9/100),PRODUCT(G23,E10/100)),0)</f>
        <v>3928</v>
      </c>
      <c r="C23" s="1">
        <f>ROUND(PRODUCT(C19,E9/100),0)</f>
        <v>909</v>
      </c>
      <c r="D23" s="1">
        <f t="shared" si="0"/>
        <v>4837</v>
      </c>
      <c r="F23" s="1">
        <f>ROUND(SUM(65,PRODUCT(SUM(65,-B10),SUM(D19,-D23),1/SUM(B23,-B19))),0)</f>
        <v>68</v>
      </c>
      <c r="G23" s="1">
        <f>IF(H10=0,ROUND(PRODUCT(B6,0.0185,E8,1/12),0),ROUND(PRODUCT(B6,0.0185,E8,1/12,SUM(1,-PRODUCT(H10,0.03))),0))</f>
        <v>4610</v>
      </c>
    </row>
    <row r="24" spans="1:7" x14ac:dyDescent="0.45">
      <c r="A24" t="s">
        <v>11</v>
      </c>
      <c r="B24" s="1">
        <f>ROUND(SUM(PRODUCT(B19,E9/100),PRODUCT(G24,E10/100)),0)</f>
        <v>4074</v>
      </c>
      <c r="C24" s="1">
        <f>ROUND(PRODUCT(C19,E9/100),0)</f>
        <v>909</v>
      </c>
      <c r="D24" s="1">
        <f t="shared" si="0"/>
        <v>4983</v>
      </c>
      <c r="F24" s="1">
        <f>ROUND(SUM(65,PRODUCT(SUM(65,-B10),SUM(D19,-D24),1/SUM(B24,-B19))),0)</f>
        <v>65</v>
      </c>
      <c r="G24" s="1">
        <f>IF(H10=0,ROUND(PRODUCT(B6,0.02,E8,1/12),0),ROUND(PRODUCT(B6,0.02,E8,1/12,SUM(1,-PRODUCT(H10,0.05))),0))</f>
        <v>4984</v>
      </c>
    </row>
    <row r="25" spans="1:7" x14ac:dyDescent="0.45">
      <c r="A25" s="6" t="s">
        <v>51</v>
      </c>
      <c r="B25" s="1">
        <f>ROUND(SUM(PRODUCT(B19,E9/100),PRODUCT(G25,E10/100)),0)</f>
        <v>3928</v>
      </c>
      <c r="C25" s="1">
        <f>ROUND(PRODUCT(C19,E9/100),0)</f>
        <v>909</v>
      </c>
      <c r="D25" s="1">
        <f t="shared" si="0"/>
        <v>4837</v>
      </c>
      <c r="F25" s="1">
        <f>ROUND(SUM(65,PRODUCT(SUM(65,-B10),SUM(D19,-D25),1/SUM(B25,-B19))),0)</f>
        <v>68</v>
      </c>
      <c r="G25" s="1">
        <f>IF(H9=0,ROUND(PRODUCT(B6,0.0185,E8,1/12),0),ROUND(PRODUCT(B6,0.0185,E8,1/12,SUM(1,-PRODUCT(H9,0.045))),0))</f>
        <v>4610</v>
      </c>
    </row>
    <row r="26" spans="1:7" x14ac:dyDescent="0.45">
      <c r="B26" t="s">
        <v>26</v>
      </c>
      <c r="D26" t="s">
        <v>27</v>
      </c>
    </row>
    <row r="28" spans="1:7" x14ac:dyDescent="0.45">
      <c r="A28" t="s">
        <v>45</v>
      </c>
    </row>
    <row r="29" spans="1:7" x14ac:dyDescent="0.45">
      <c r="A29" t="s">
        <v>35</v>
      </c>
    </row>
    <row r="30" spans="1:7" x14ac:dyDescent="0.45">
      <c r="A30" t="s">
        <v>44</v>
      </c>
    </row>
    <row r="31" spans="1:7" x14ac:dyDescent="0.45">
      <c r="A31" t="s">
        <v>46</v>
      </c>
    </row>
    <row r="32" spans="1:7" x14ac:dyDescent="0.45">
      <c r="A32" t="s">
        <v>37</v>
      </c>
    </row>
    <row r="34" spans="1:8" x14ac:dyDescent="0.45">
      <c r="A34" t="s">
        <v>38</v>
      </c>
      <c r="B34" s="4">
        <v>77000</v>
      </c>
      <c r="C34" t="s">
        <v>40</v>
      </c>
      <c r="F34" s="4">
        <v>1.5</v>
      </c>
      <c r="G34" t="s">
        <v>41</v>
      </c>
      <c r="H34" s="1">
        <f>ROUND(PRODUCT(B34,POWER(SUM(1,F34/100),SUM(B11,-2017))),0)</f>
        <v>93444</v>
      </c>
    </row>
  </sheetData>
  <sheetProtection password="C849" sheet="1" objects="1" scenarios="1"/>
  <pageMargins left="0.7" right="0.7" top="0.75" bottom="0.75" header="0.3" footer="0.3"/>
  <pageSetup orientation="landscape" r:id="rId1"/>
  <ignoredErrors>
    <ignoredError sqref="E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F37" sqref="F37"/>
    </sheetView>
  </sheetViews>
  <sheetFormatPr defaultRowHeight="14.25" x14ac:dyDescent="0.45"/>
  <sheetData>
    <row r="1" spans="1:3" x14ac:dyDescent="0.45">
      <c r="A1" s="2">
        <v>2015</v>
      </c>
      <c r="B1" s="3">
        <v>53600</v>
      </c>
      <c r="C1">
        <f>SUM(100,-PRODUCT(B2,1/B1,100))</f>
        <v>2.0522388059701484</v>
      </c>
    </row>
    <row r="2" spans="1:3" x14ac:dyDescent="0.45">
      <c r="A2" s="2">
        <v>2014</v>
      </c>
      <c r="B2" s="3">
        <v>52500</v>
      </c>
      <c r="C2">
        <f t="shared" ref="C2:C25" si="0">SUM(100,-PRODUCT(B3,1/B2,100))</f>
        <v>2.6666666666666714</v>
      </c>
    </row>
    <row r="3" spans="1:3" x14ac:dyDescent="0.45">
      <c r="A3" s="2">
        <v>2013</v>
      </c>
      <c r="B3" s="3">
        <v>51100</v>
      </c>
      <c r="C3">
        <f t="shared" si="0"/>
        <v>1.9569471624266157</v>
      </c>
    </row>
    <row r="4" spans="1:3" x14ac:dyDescent="0.45">
      <c r="A4" s="2">
        <v>2012</v>
      </c>
      <c r="B4" s="3">
        <v>50100</v>
      </c>
      <c r="C4">
        <f t="shared" si="0"/>
        <v>3.5928143712574752</v>
      </c>
    </row>
    <row r="5" spans="1:3" x14ac:dyDescent="0.45">
      <c r="A5" s="2">
        <v>2011</v>
      </c>
      <c r="B5" s="3">
        <v>48300</v>
      </c>
      <c r="C5">
        <f t="shared" si="0"/>
        <v>2.2774327122153295</v>
      </c>
    </row>
    <row r="6" spans="1:3" x14ac:dyDescent="0.45">
      <c r="A6" s="2">
        <v>2010</v>
      </c>
      <c r="B6" s="3">
        <v>47200</v>
      </c>
      <c r="C6">
        <f t="shared" si="0"/>
        <v>1.906779661016941</v>
      </c>
    </row>
    <row r="7" spans="1:3" x14ac:dyDescent="0.45">
      <c r="A7" s="2">
        <v>2009</v>
      </c>
      <c r="B7" s="3">
        <v>46300</v>
      </c>
      <c r="C7">
        <f t="shared" si="0"/>
        <v>3.023758099352051</v>
      </c>
    </row>
    <row r="8" spans="1:3" x14ac:dyDescent="0.45">
      <c r="A8" s="2">
        <v>2008</v>
      </c>
      <c r="B8" s="3">
        <v>44900</v>
      </c>
      <c r="C8">
        <f t="shared" si="0"/>
        <v>2.6726057906458749</v>
      </c>
    </row>
    <row r="9" spans="1:3" x14ac:dyDescent="0.45">
      <c r="A9" s="2">
        <v>2007</v>
      </c>
      <c r="B9" s="3">
        <v>43700</v>
      </c>
      <c r="C9">
        <f t="shared" si="0"/>
        <v>3.6613272311212768</v>
      </c>
    </row>
    <row r="10" spans="1:3" x14ac:dyDescent="0.45">
      <c r="A10" s="2">
        <v>2006</v>
      </c>
      <c r="B10" s="3">
        <v>42100</v>
      </c>
      <c r="C10">
        <f t="shared" si="0"/>
        <v>2.3752969121140239</v>
      </c>
    </row>
    <row r="11" spans="1:3" x14ac:dyDescent="0.45">
      <c r="A11" s="2">
        <v>2005</v>
      </c>
      <c r="B11" s="3">
        <v>41100</v>
      </c>
      <c r="C11">
        <f t="shared" si="0"/>
        <v>1.4598540145985339</v>
      </c>
    </row>
    <row r="12" spans="1:3" x14ac:dyDescent="0.45">
      <c r="A12" s="2">
        <v>2004</v>
      </c>
      <c r="B12" s="3">
        <v>40500</v>
      </c>
      <c r="C12">
        <f t="shared" si="0"/>
        <v>1.481481481481481</v>
      </c>
    </row>
    <row r="13" spans="1:3" x14ac:dyDescent="0.45">
      <c r="A13" s="2">
        <v>2003</v>
      </c>
      <c r="B13" s="3">
        <v>39900</v>
      </c>
      <c r="C13">
        <f t="shared" si="0"/>
        <v>2.0050125313283189</v>
      </c>
    </row>
    <row r="14" spans="1:3" x14ac:dyDescent="0.45">
      <c r="A14" s="2">
        <v>2002</v>
      </c>
      <c r="B14" s="3">
        <v>39100</v>
      </c>
      <c r="C14">
        <f t="shared" si="0"/>
        <v>2.0460358056265875</v>
      </c>
    </row>
    <row r="15" spans="1:3" x14ac:dyDescent="0.45">
      <c r="A15" s="2">
        <v>2001</v>
      </c>
      <c r="B15" s="3">
        <v>38300</v>
      </c>
      <c r="C15">
        <f t="shared" si="0"/>
        <v>1.8276762402088735</v>
      </c>
    </row>
    <row r="16" spans="1:3" x14ac:dyDescent="0.45">
      <c r="A16" s="2">
        <v>2000</v>
      </c>
      <c r="B16" s="3">
        <v>37600</v>
      </c>
      <c r="C16">
        <f t="shared" si="0"/>
        <v>0.53191489361702793</v>
      </c>
    </row>
    <row r="17" spans="1:3" x14ac:dyDescent="0.45">
      <c r="A17" s="2">
        <v>1999</v>
      </c>
      <c r="B17" s="3">
        <v>37400</v>
      </c>
      <c r="C17">
        <f t="shared" si="0"/>
        <v>1.3368983957219314</v>
      </c>
    </row>
    <row r="18" spans="1:3" x14ac:dyDescent="0.45">
      <c r="A18" s="2">
        <v>1998</v>
      </c>
      <c r="B18" s="3">
        <v>36900</v>
      </c>
      <c r="C18">
        <f t="shared" si="0"/>
        <v>2.9810298102981108</v>
      </c>
    </row>
    <row r="19" spans="1:3" x14ac:dyDescent="0.45">
      <c r="A19" s="2">
        <v>1997</v>
      </c>
      <c r="B19" s="3">
        <v>35800</v>
      </c>
      <c r="C19">
        <f t="shared" si="0"/>
        <v>1.1173184357541857</v>
      </c>
    </row>
    <row r="20" spans="1:3" x14ac:dyDescent="0.45">
      <c r="A20" s="2">
        <v>1996</v>
      </c>
      <c r="B20" s="3">
        <v>35400</v>
      </c>
      <c r="C20">
        <f t="shared" si="0"/>
        <v>1.4124293785310726</v>
      </c>
    </row>
    <row r="21" spans="1:3" x14ac:dyDescent="0.45">
      <c r="A21" s="2">
        <v>1995</v>
      </c>
      <c r="B21" s="3">
        <v>34900</v>
      </c>
      <c r="C21">
        <f t="shared" si="0"/>
        <v>1.4326647564469823</v>
      </c>
    </row>
    <row r="22" spans="1:3" x14ac:dyDescent="0.45">
      <c r="A22" s="2">
        <v>1994</v>
      </c>
      <c r="B22" s="3">
        <v>34400</v>
      </c>
      <c r="C22">
        <f t="shared" si="0"/>
        <v>2.9069767441860392</v>
      </c>
    </row>
    <row r="23" spans="1:3" x14ac:dyDescent="0.45">
      <c r="A23" s="2">
        <v>1993</v>
      </c>
      <c r="B23" s="3">
        <v>33400</v>
      </c>
      <c r="C23">
        <f t="shared" si="0"/>
        <v>3.5928143712574894</v>
      </c>
    </row>
    <row r="24" spans="1:3" x14ac:dyDescent="0.45">
      <c r="A24" s="2">
        <v>1992</v>
      </c>
      <c r="B24" s="3">
        <v>32200</v>
      </c>
      <c r="C24">
        <f t="shared" si="0"/>
        <v>5.2795031055900523</v>
      </c>
    </row>
    <row r="25" spans="1:3" x14ac:dyDescent="0.45">
      <c r="A25" s="2">
        <v>1991</v>
      </c>
      <c r="B25" s="3">
        <v>30500</v>
      </c>
      <c r="C25">
        <f t="shared" si="0"/>
        <v>5.2459016393442539</v>
      </c>
    </row>
    <row r="26" spans="1:3" x14ac:dyDescent="0.45">
      <c r="A26" s="2">
        <v>1990</v>
      </c>
      <c r="B26" s="3">
        <v>28900</v>
      </c>
    </row>
    <row r="28" spans="1:3" x14ac:dyDescent="0.45">
      <c r="A28" t="s">
        <v>22</v>
      </c>
      <c r="C28">
        <f>AVERAGE(C1:C25)</f>
        <v>2.4337351606710937</v>
      </c>
    </row>
  </sheetData>
  <sheetProtection password="C84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Auto Projected YMPE</vt:lpstr>
      <vt:lpstr>Manual YMPE Entry</vt:lpstr>
      <vt:lpstr>NewConditionsToAll AutoYMPE</vt:lpstr>
      <vt:lpstr>NewConditionsToAll Manual YMPE</vt:lpstr>
      <vt:lpstr>YMPE Data</vt:lpstr>
    </vt:vector>
  </TitlesOfParts>
  <Company>Stirco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Y Sdoutz</dc:creator>
  <cp:lastModifiedBy>Christian Sdoutz</cp:lastModifiedBy>
  <cp:lastPrinted>2016-02-14T17:57:06Z</cp:lastPrinted>
  <dcterms:created xsi:type="dcterms:W3CDTF">2015-10-01T02:11:47Z</dcterms:created>
  <dcterms:modified xsi:type="dcterms:W3CDTF">2016-03-14T22:08:38Z</dcterms:modified>
</cp:coreProperties>
</file>